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png" ContentType="image/jpeg"/>
  <Override PartName="/xl/workbook.xml" ContentType="application/vnd.openxmlformats-officedocument.spreadsheetml.template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O15 templates\Excel\092112LocHandOff\"/>
    </mc:Choice>
  </mc:AlternateContent>
  <bookViews>
    <workbookView xWindow="0" yWindow="0" windowWidth="20490" windowHeight="7515"/>
  </bookViews>
  <sheets>
    <sheet name="Monthly Budget" sheetId="1" r:id="rId1"/>
  </sheets>
  <definedNames>
    <definedName name="_xlnm._FilterDatabase" localSheetId="0" hidden="1">'Monthly Budget'!$J$18:$J$37</definedName>
    <definedName name="_xlnm.Criteria" localSheetId="0">'Monthly Budget'!#REF!</definedName>
    <definedName name="_xlnm.Extract" localSheetId="0">'Monthly Budget'!#REF!</definedName>
  </definedNames>
  <calcPr calcId="152511"/>
</workbook>
</file>

<file path=xl/calcChain.xml><?xml version="1.0" encoding="utf-8"?>
<calcChain xmlns="http://schemas.openxmlformats.org/spreadsheetml/2006/main">
  <c r="K18" i="1" l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12" i="1"/>
  <c r="K13" i="1"/>
  <c r="K14" i="1"/>
  <c r="K6" i="1"/>
  <c r="K7" i="1"/>
  <c r="K8" i="1"/>
  <c r="J15" i="1" l="1"/>
  <c r="I15" i="1"/>
  <c r="L12" i="1"/>
  <c r="L13" i="1"/>
  <c r="L14" i="1"/>
  <c r="L15" i="1" l="1"/>
  <c r="C37" i="1" l="1"/>
  <c r="E37" i="1" s="1"/>
  <c r="C35" i="1"/>
  <c r="E35" i="1" s="1"/>
  <c r="C33" i="1"/>
  <c r="E33" i="1" s="1"/>
  <c r="C36" i="1"/>
  <c r="E36" i="1" s="1"/>
  <c r="C34" i="1"/>
  <c r="E34" i="1" s="1"/>
  <c r="L3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E38" i="1" l="1"/>
  <c r="C38" i="1"/>
  <c r="B34" i="1"/>
  <c r="B33" i="1"/>
  <c r="B36" i="1"/>
  <c r="B35" i="1"/>
  <c r="B37" i="1"/>
  <c r="I9" i="1"/>
  <c r="C6" i="1" s="1"/>
  <c r="J9" i="1"/>
  <c r="D6" i="1" s="1"/>
  <c r="L6" i="1"/>
  <c r="L7" i="1"/>
  <c r="L8" i="1"/>
  <c r="J38" i="1"/>
  <c r="D7" i="1" s="1"/>
  <c r="E7" i="1" s="1"/>
  <c r="I38" i="1"/>
  <c r="C7" i="1" s="1"/>
  <c r="E6" i="1" l="1"/>
  <c r="C8" i="1"/>
  <c r="D8" i="1"/>
  <c r="L9" i="1"/>
  <c r="L38" i="1"/>
  <c r="E8" i="1" l="1"/>
  <c r="D36" i="1"/>
  <c r="D34" i="1"/>
  <c r="D37" i="1"/>
  <c r="D35" i="1"/>
  <c r="D33" i="1"/>
  <c r="D38" i="1" l="1"/>
</calcChain>
</file>

<file path=xl/sharedStrings.xml><?xml version="1.0" encoding="utf-8"?>
<sst xmlns="http://schemas.openxmlformats.org/spreadsheetml/2006/main" count="61" uniqueCount="49">
  <si>
    <t>Other</t>
  </si>
  <si>
    <t>Advertising</t>
  </si>
  <si>
    <t>Depreciation</t>
  </si>
  <si>
    <t>Insurance</t>
  </si>
  <si>
    <t>Interest</t>
  </si>
  <si>
    <t>Office supplies</t>
  </si>
  <si>
    <t>Postage</t>
  </si>
  <si>
    <t>Rent or mortgage</t>
  </si>
  <si>
    <t>Sales expenses</t>
  </si>
  <si>
    <t>Shipping and storage</t>
  </si>
  <si>
    <t>Supplies</t>
  </si>
  <si>
    <t>Taxes</t>
  </si>
  <si>
    <t>Telephone</t>
  </si>
  <si>
    <t>Utilities</t>
  </si>
  <si>
    <t>Total</t>
  </si>
  <si>
    <t>Income</t>
  </si>
  <si>
    <t>Wages</t>
  </si>
  <si>
    <t>Commission</t>
  </si>
  <si>
    <t>Expenses</t>
  </si>
  <si>
    <t>Total Personnel</t>
  </si>
  <si>
    <t>Top 5 Amount</t>
  </si>
  <si>
    <t>ESTIMATED</t>
  </si>
  <si>
    <t>ACTUAL</t>
  </si>
  <si>
    <t>DIFFERENCE</t>
  </si>
  <si>
    <t>INCOME</t>
  </si>
  <si>
    <t>TOP 5 AMOUNT</t>
  </si>
  <si>
    <t>PERSONNEL EXPENSES</t>
  </si>
  <si>
    <t>OPERATING EXPENSES</t>
  </si>
  <si>
    <t>WHAT ARE MY TOP 5 HIGHEST OPERATING EXPENSES?</t>
  </si>
  <si>
    <t>EXPENSE</t>
  </si>
  <si>
    <t>AMOUNT</t>
  </si>
  <si>
    <t>% OF EXPENSES</t>
  </si>
  <si>
    <t>BUDGET TOTALS</t>
  </si>
  <si>
    <t>MONTHLY BUDGET</t>
  </si>
  <si>
    <t>Total Operating</t>
  </si>
  <si>
    <t>15% REDUCTION</t>
  </si>
  <si>
    <t>Balance (Income minus Expenses)</t>
  </si>
  <si>
    <t>Employee benefits</t>
  </si>
  <si>
    <t>Bad debts</t>
  </si>
  <si>
    <t>Cash discounts</t>
  </si>
  <si>
    <t>Dues and subscriptions</t>
  </si>
  <si>
    <t>Legal and auditing</t>
  </si>
  <si>
    <t>Maintenance and repairs</t>
  </si>
  <si>
    <t>Net sales</t>
  </si>
  <si>
    <t>Interest income</t>
  </si>
  <si>
    <t>Asset sales (gain/loss)</t>
  </si>
  <si>
    <t>COMPANY NAME</t>
  </si>
  <si>
    <t>Delivery costs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</si>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</sst>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mmmm\ yyyy"/>
    <numFmt numFmtId="165" formatCode="0.0%"/>
  </numFmts>
  <fonts count="13" x14ac:knownFonts="1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sz val="10"/>
      <color theme="1"/>
      <name val="Gill Sans MT"/>
      <family val="2"/>
      <scheme val="minor"/>
    </font>
    <font>
      <sz val="12"/>
      <color theme="1"/>
      <name val="Gill Sans MT"/>
      <family val="2"/>
      <scheme val="minor"/>
    </font>
    <font>
      <sz val="10"/>
      <color theme="0"/>
      <name val="Gill Sans MT"/>
      <family val="2"/>
      <scheme val="minor"/>
    </font>
    <font>
      <b/>
      <sz val="18"/>
      <color theme="1"/>
      <name val="Gill Sans MT"/>
      <family val="2"/>
      <scheme val="minor"/>
    </font>
    <font>
      <sz val="12"/>
      <color theme="3"/>
      <name val="Gill Sans MT"/>
      <family val="2"/>
      <scheme val="minor"/>
    </font>
    <font>
      <sz val="16"/>
      <color theme="0"/>
      <name val="Gill Sans MT"/>
      <family val="2"/>
      <scheme val="major"/>
    </font>
    <font>
      <sz val="36"/>
      <color theme="0"/>
      <name val="Gill Sans MT"/>
      <family val="2"/>
      <scheme val="major"/>
    </font>
    <font>
      <sz val="16"/>
      <color theme="3"/>
      <name val="Gill Sans MT"/>
      <family val="2"/>
      <scheme val="major"/>
    </font>
    <font>
      <sz val="36"/>
      <color theme="3"/>
      <name val="Gill Sans MT"/>
      <family val="2"/>
      <scheme val="major"/>
    </font>
    <font>
      <sz val="11"/>
      <color theme="3"/>
      <name val="Gill Sans M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/>
    <xf numFmtId="43" fontId="0" fillId="0" borderId="0" xfId="2" applyFont="1" applyFill="1" applyBorder="1"/>
    <xf numFmtId="0" fontId="0" fillId="0" borderId="0" xfId="0" applyFont="1" applyFill="1" applyBorder="1" applyAlignment="1">
      <alignment horizontal="left" indent="1"/>
    </xf>
    <xf numFmtId="40" fontId="0" fillId="0" borderId="0" xfId="2" applyNumberFormat="1" applyFont="1" applyFill="1" applyBorder="1"/>
    <xf numFmtId="40" fontId="0" fillId="0" borderId="0" xfId="0" applyNumberFormat="1" applyFont="1" applyFill="1" applyBorder="1"/>
    <xf numFmtId="0" fontId="8" fillId="0" borderId="0" xfId="0" applyFont="1" applyFill="1" applyAlignment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left" indent="1"/>
    </xf>
    <xf numFmtId="0" fontId="5" fillId="0" borderId="0" xfId="0" applyFont="1" applyFill="1" applyBorder="1" applyAlignment="1">
      <alignment horizontal="right"/>
    </xf>
    <xf numFmtId="0" fontId="0" fillId="2" borderId="0" xfId="0" applyFill="1"/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43" fontId="1" fillId="2" borderId="0" xfId="2" applyFont="1" applyFill="1"/>
    <xf numFmtId="43" fontId="1" fillId="2" borderId="0" xfId="0" applyNumberFormat="1" applyFont="1" applyFill="1"/>
    <xf numFmtId="0" fontId="0" fillId="2" borderId="0" xfId="0" applyFill="1" applyAlignment="1"/>
    <xf numFmtId="9" fontId="0" fillId="2" borderId="0" xfId="1" applyFont="1" applyFill="1" applyAlignment="1">
      <alignment horizontal="right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43" fontId="0" fillId="0" borderId="0" xfId="2" applyNumberFormat="1" applyFont="1" applyFill="1" applyBorder="1"/>
    <xf numFmtId="43" fontId="0" fillId="0" borderId="0" xfId="0" applyNumberFormat="1" applyFont="1" applyFill="1" applyBorder="1"/>
    <xf numFmtId="0" fontId="0" fillId="0" borderId="0" xfId="0" applyFill="1"/>
    <xf numFmtId="0" fontId="11" fillId="0" borderId="0" xfId="3" applyFill="1" applyAlignment="1">
      <alignment horizontal="left" indent="1"/>
    </xf>
    <xf numFmtId="165" fontId="0" fillId="0" borderId="0" xfId="1" applyNumberFormat="1" applyFont="1" applyFill="1" applyBorder="1"/>
    <xf numFmtId="165" fontId="0" fillId="0" borderId="0" xfId="0" applyNumberFormat="1" applyFont="1" applyFill="1" applyBorder="1"/>
    <xf numFmtId="0" fontId="0" fillId="3" borderId="0" xfId="0" applyFill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/>
    </xf>
    <xf numFmtId="43" fontId="0" fillId="2" borderId="0" xfId="0" applyNumberFormat="1" applyFill="1" applyAlignment="1">
      <alignment horizontal="center"/>
    </xf>
    <xf numFmtId="164" fontId="12" fillId="0" borderId="0" xfId="0" applyNumberFormat="1" applyFont="1" applyFill="1" applyAlignment="1">
      <alignment horizontal="right"/>
    </xf>
  </cellXfs>
  <cellStyles count="4">
    <cellStyle name="Comma" xfId="2" builtinId="3"/>
    <cellStyle name="Normal" xfId="0" builtinId="0" customBuiltin="1"/>
    <cellStyle name="Percent" xfId="1" builtinId="5"/>
    <cellStyle name="Title" xfId="3" builtinId="15" customBuiltin="1"/>
  </cellStyles>
  <dxfs count="10">
    <dxf>
      <numFmt numFmtId="2" formatCode="0.00"/>
      <fill>
        <patternFill patternType="solid"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scheme val="minor"/>
      </font>
      <numFmt numFmtId="165" formatCode="0.0%"/>
      <fill>
        <patternFill patternType="solid">
          <fgColor indexed="64"/>
          <bgColor theme="0" tint="-4.9989318521683403E-2"/>
        </patternFill>
      </fill>
    </dxf>
    <dxf>
      <numFmt numFmtId="165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scheme val="minor"/>
      </font>
      <numFmt numFmtId="35" formatCode="_(* #,##0.00_);_(* \(#,##0.00\);_(* &quot;-&quot;??_);_(@_)"/>
      <fill>
        <patternFill patternType="solid"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l Sans MT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1" justifyLastLine="0" shrinkToFit="0" readingOrder="0"/>
    </dxf>
    <dxf>
      <fill>
        <patternFill patternType="solid">
          <fgColor theme="4" tint="0.59999389629810485"/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 val="0"/>
        <i val="0"/>
        <color theme="1"/>
      </font>
      <fill>
        <patternFill patternType="solid">
          <fgColor theme="4"/>
          <bgColor theme="8" tint="0.59996337778862885"/>
        </patternFill>
      </fill>
      <border>
        <top style="thin">
          <color theme="0"/>
        </top>
      </border>
    </dxf>
    <dxf>
      <font>
        <color theme="3"/>
      </font>
      <fill>
        <patternFill patternType="solid">
          <fgColor theme="4"/>
          <bgColor theme="7" tint="0.39994506668294322"/>
        </patternFill>
      </fill>
      <border>
        <bottom style="thin">
          <color theme="0"/>
        </bottom>
      </border>
    </dxf>
    <dxf>
      <font>
        <b val="0"/>
        <i val="0"/>
        <color theme="1"/>
      </font>
      <fill>
        <patternFill patternType="solid">
          <fgColor theme="4" tint="0.79979857783745845"/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Monthly Budget" defaultPivotStyle="PivotStyleLight16">
    <tableStyle name="Monthly Budget" pivot="0" count="5">
      <tableStyleElement type="wholeTable" dxfId="9"/>
      <tableStyleElement type="headerRow" dxfId="8"/>
      <tableStyleElement type="totalRow" dxfId="7"/>
      <tableStyleElement type="lastColumn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customXml" Target="../customXml/item2.xml" Id="rId7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5" /><Relationship Type="http://schemas.openxmlformats.org/officeDocument/2006/relationships/sharedStrings" Target="sharedStrings.xml" Id="rId4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 b="0">
                <a:solidFill>
                  <a:schemeClr val="tx2"/>
                </a:solidFill>
              </a:defRPr>
            </a:pPr>
            <a:r>
              <a:rPr lang="en-US" sz="1500" b="0">
                <a:solidFill>
                  <a:schemeClr val="tx2"/>
                </a:solidFill>
              </a:rPr>
              <a:t>BUDGET OVERVIEW</a:t>
            </a:r>
          </a:p>
        </c:rich>
      </c:tx>
      <c:layout>
        <c:manualLayout>
          <c:xMode val="edge"/>
          <c:yMode val="edge"/>
          <c:x val="0.11267172051275741"/>
          <c:y val="0.10473324876700055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'Monthly Budget'!$B$6</c:f>
              <c:strCache>
                <c:ptCount val="1"/>
                <c:pt idx="0">
                  <c:v>Income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solidFill>
                <a:schemeClr val="accent4"/>
              </a:solidFill>
            </a:ln>
            <a:effectLst>
              <a:outerShdw blurRad="50800" dist="127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'Monthly Budget'!$C$5:$D$5</c:f>
              <c:strCache>
                <c:ptCount val="2"/>
                <c:pt idx="0">
                  <c:v>ESTIMATED</c:v>
                </c:pt>
                <c:pt idx="1">
                  <c:v>ACTUAL</c:v>
                </c:pt>
              </c:strCache>
            </c:strRef>
          </c:cat>
          <c:val>
            <c:numRef>
              <c:f>'Monthly Budget'!$C$6:$D$6</c:f>
              <c:numCache>
                <c:formatCode>#,##0.00_);[Red]\(#,##0.00\)</c:formatCode>
                <c:ptCount val="2"/>
                <c:pt idx="0">
                  <c:v>63300</c:v>
                </c:pt>
                <c:pt idx="1">
                  <c:v>57450</c:v>
                </c:pt>
              </c:numCache>
            </c:numRef>
          </c:val>
        </c:ser>
        <c:ser>
          <c:idx val="1"/>
          <c:order val="1"/>
          <c:tx>
            <c:strRef>
              <c:f>'Monthly Budget'!$B$7</c:f>
              <c:strCache>
                <c:ptCount val="1"/>
                <c:pt idx="0">
                  <c:v>Expenses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accent5">
                  <a:lumMod val="90000"/>
                </a:schemeClr>
              </a:solidFill>
            </a:ln>
            <a:effectLst>
              <a:outerShdw blurRad="50800" dist="127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'Monthly Budget'!$C$5:$D$5</c:f>
              <c:strCache>
                <c:ptCount val="2"/>
                <c:pt idx="0">
                  <c:v>ESTIMATED</c:v>
                </c:pt>
                <c:pt idx="1">
                  <c:v>ACTUAL</c:v>
                </c:pt>
              </c:strCache>
            </c:strRef>
          </c:cat>
          <c:val>
            <c:numRef>
              <c:f>'Monthly Budget'!$C$7:$D$7</c:f>
              <c:numCache>
                <c:formatCode>#,##0.00_);[Red]\(#,##0.00\)</c:formatCode>
                <c:ptCount val="2"/>
                <c:pt idx="0">
                  <c:v>54500</c:v>
                </c:pt>
                <c:pt idx="1">
                  <c:v>49630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3"/>
        <c:axId val="546294216"/>
        <c:axId val="778916816"/>
      </c:barChart>
      <c:catAx>
        <c:axId val="546294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2"/>
                </a:solidFill>
              </a:defRPr>
            </a:pPr>
            <a:endParaRPr lang="en-US"/>
          </a:p>
        </c:txPr>
        <c:crossAx val="778916816"/>
        <c:crosses val="autoZero"/>
        <c:auto val="1"/>
        <c:lblAlgn val="ctr"/>
        <c:lblOffset val="100"/>
        <c:noMultiLvlLbl val="0"/>
      </c:catAx>
      <c:valAx>
        <c:axId val="778916816"/>
        <c:scaling>
          <c:orientation val="minMax"/>
        </c:scaling>
        <c:delete val="0"/>
        <c:axPos val="l"/>
        <c:majorGridlines/>
        <c:numFmt formatCode="#,##0.00_);[Red]\(#,##0.00\)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2"/>
                </a:solidFill>
              </a:defRPr>
            </a:pPr>
            <a:endParaRPr lang="en-US"/>
          </a:p>
        </c:txPr>
        <c:crossAx val="54629421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75780087049104772"/>
          <c:y val="0.11413918438569598"/>
          <c:w val="0.22490337474143743"/>
          <c:h val="6.1405072993619622E-2"/>
        </c:manualLayout>
      </c:layout>
      <c:overlay val="0"/>
      <c:txPr>
        <a:bodyPr/>
        <a:lstStyle/>
        <a:p>
          <a:pPr>
            <a:defRPr sz="1100">
              <a:solidFill>
                <a:schemeClr val="tx2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8</xdr:row>
      <xdr:rowOff>180976</xdr:rowOff>
    </xdr:from>
    <xdr:to>
      <xdr:col>4</xdr:col>
      <xdr:colOff>1416844</xdr:colOff>
      <xdr:row>28</xdr:row>
      <xdr:rowOff>119062</xdr:rowOff>
    </xdr:to>
    <xdr:graphicFrame macro="">
      <xdr:nvGraphicFramePr>
        <xdr:cNvPr id="6" name="BudgetOverview" descr="Bar chart showing estimated versus actual income and expenses" title="Budget Overvie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OperatingExpensesTable" displayName="OperatingExpensesTable" ref="H17:L38" totalsRowCount="1">
  <autoFilter ref="H17:L37"/>
  <sortState ref="H17:L37">
    <sortCondition ref="H16:H37"/>
  </sortState>
  <tableColumns count="5">
    <tableColumn id="1" name="OPERATING EXPENSES" totalsRowLabel="Total Operating"/>
    <tableColumn id="2" name="ESTIMATED" totalsRowFunction="sum"/>
    <tableColumn id="3" name="ACTUAL" totalsRowFunction="sum"/>
    <tableColumn id="5" name="Top 5 Amount">
      <calculatedColumnFormula>OperatingExpensesTable[[#This Row],[ACTUAL]]+(10^-6)*ROW(OperatingExpensesTable[[#This Row],[ACTUAL]])</calculatedColumnFormula>
    </tableColumn>
    <tableColumn id="4" name="DIFFERENCE" totalsRowFunction="sum">
      <calculatedColumnFormula>OperatingExpensesTable[[#This Row],[ESTIMATED]]-OperatingExpensesTable[[#This Row],[ACTUAL]]</calculatedColumnFormula>
    </tableColumn>
  </tableColumns>
  <tableStyleInfo name="Monthly Budget" showFirstColumn="0" showLastColumn="0" showRowStripes="0" showColumnStripes="0"/>
  <extLst>
    <ext xmlns:x14="http://schemas.microsoft.com/office/spreadsheetml/2009/9/main" uri="{504A1905-F514-4f6f-8877-14C23A59335A}">
      <x14:table altText="Operating Expenses table" altTextSummary="List of operating expenses for estimated and actual values along with a calculated difference"/>
    </ext>
  </extLst>
</table>
</file>

<file path=xl/tables/table2.xml><?xml version="1.0" encoding="utf-8"?>
<table xmlns="http://schemas.openxmlformats.org/spreadsheetml/2006/main" id="3" name="IncomeTable" displayName="IncomeTable" ref="H5:L9" totalsRowCount="1">
  <autoFilter ref="H5:L8"/>
  <tableColumns count="5">
    <tableColumn id="1" name="INCOME" totalsRowLabel="Total"/>
    <tableColumn id="2" name="ESTIMATED" totalsRowFunction="sum"/>
    <tableColumn id="3" name="ACTUAL" totalsRowFunction="sum"/>
    <tableColumn id="5" name="TOP 5 AMOUNT">
      <calculatedColumnFormula>IncomeTable[[#This Row],[ACTUAL]]+(10^-6)*ROW(IncomeTable[[#This Row],[ACTUAL]])</calculatedColumnFormula>
    </tableColumn>
    <tableColumn id="4" name="DIFFERENCE" totalsRowFunction="sum">
      <calculatedColumnFormula>IncomeTable[[#This Row],[ACTUAL]]-IncomeTable[[#This Row],[ESTIMATED]]</calculatedColumnFormula>
    </tableColumn>
  </tableColumns>
  <tableStyleInfo name="Monthly Budget" showFirstColumn="0" showLastColumn="0" showRowStripes="0" showColumnStripes="0"/>
  <extLst>
    <ext xmlns:x14="http://schemas.microsoft.com/office/spreadsheetml/2009/9/main" uri="{504A1905-F514-4f6f-8877-14C23A59335A}">
      <x14:table altText="Income table" altTextSummary="List of income sources for estimated and actual values along with a calculated difference"/>
    </ext>
  </extLst>
</table>
</file>

<file path=xl/tables/table3.xml><?xml version="1.0" encoding="utf-8"?>
<table xmlns="http://schemas.openxmlformats.org/spreadsheetml/2006/main" id="4" name="TotalsTable" displayName="TotalsTable" ref="B5:E8" totalsRowCount="1">
  <autoFilter ref="B5:E7"/>
  <tableColumns count="4">
    <tableColumn id="1" name="BUDGET TOTALS" totalsRowLabel="Balance (Income minus Expenses)"/>
    <tableColumn id="2" name="ESTIMATED" totalsRowFunction="custom">
      <totalsRowFormula>C6-C7</totalsRowFormula>
    </tableColumn>
    <tableColumn id="3" name="ACTUAL" totalsRowFunction="custom">
      <totalsRowFormula>D6-D7</totalsRowFormula>
    </tableColumn>
    <tableColumn id="4" name="DIFFERENCE" totalsRowFunction="custom">
      <calculatedColumnFormula>TotalsTable[[#This Row],[ACTUAL]]-TotalsTable[[#This Row],[ESTIMATED]]</calculatedColumnFormula>
      <totalsRowFormula>TotalsTable[[#Totals],[ACTUAL]]-TotalsTable[[#Totals],[ESTIMATED]]</totalsRowFormula>
    </tableColumn>
  </tableColumns>
  <tableStyleInfo name="Monthly Budget" showFirstColumn="0" showLastColumn="1" showRowStripes="0" showColumnStripes="0"/>
  <extLst>
    <ext xmlns:x14="http://schemas.microsoft.com/office/spreadsheetml/2009/9/main" uri="{504A1905-F514-4f6f-8877-14C23A59335A}">
      <x14:table altText="Budget Totals table" altTextSummary="Table that sums total estimated and actual income and expenses from other tables in the worksheet, calculates difference, and provides balance (income minus expenses)"/>
    </ext>
  </extLst>
</table>
</file>

<file path=xl/tables/table4.xml><?xml version="1.0" encoding="utf-8"?>
<table xmlns="http://schemas.openxmlformats.org/spreadsheetml/2006/main" id="1" name="Top5Expenses" displayName="Top5Expenses" ref="B32:E38" totalsRowCount="1">
  <tableColumns count="4">
    <tableColumn id="1" name="EXPENSE" totalsRowLabel="Total" totalsRowDxfId="4">
      <calculatedColumnFormula>INDEX(OperatingExpensesTable[],MATCH(Top5Expenses[[#This Row],[AMOUNT]],OperatingExpensesTable[Top 5 Amount],0),1)</calculatedColumnFormula>
    </tableColumn>
    <tableColumn id="2" name="AMOUNT" totalsRowFunction="sum" totalsRowDxfId="3"/>
    <tableColumn id="3" name="% OF EXPENSES" totalsRowFunction="sum" dataDxfId="2" totalsRowDxfId="1">
      <calculatedColumnFormula>Top5Expenses[[#This Row],[AMOUNT]]/$D$7</calculatedColumnFormula>
    </tableColumn>
    <tableColumn id="4" name="15% REDUCTION" totalsRowFunction="sum" totalsRowDxfId="0">
      <calculatedColumnFormula>Top5Expenses[[#This Row],[AMOUNT]]*0.15</calculatedColumnFormula>
    </tableColumn>
  </tableColumns>
  <tableStyleInfo name="Monthly Budget" showFirstColumn="0" showLastColumn="0" showRowStripes="0" showColumnStripes="0"/>
  <extLst>
    <ext xmlns:x14="http://schemas.microsoft.com/office/spreadsheetml/2009/9/main" uri="{504A1905-F514-4f6f-8877-14C23A59335A}">
      <x14:table altText="Top 5 highest operating expenses" altTextSummary="Table that provides the top 5 highest operating expenses, percentage of expenses, and 15% reduction for potential savings analysis "/>
    </ext>
  </extLst>
</table>
</file>

<file path=xl/tables/table5.xml><?xml version="1.0" encoding="utf-8"?>
<table xmlns="http://schemas.openxmlformats.org/spreadsheetml/2006/main" id="5" name="PersonnelExpensesTable" displayName="PersonnelExpensesTable" ref="H11:L15" totalsRowCount="1">
  <autoFilter ref="H11:L14"/>
  <tableColumns count="5">
    <tableColumn id="1" name="PERSONNEL EXPENSES" totalsRowLabel="Total Personnel"/>
    <tableColumn id="2" name="ESTIMATED" totalsRowFunction="sum"/>
    <tableColumn id="3" name="ACTUAL" totalsRowFunction="sum"/>
    <tableColumn id="4" name="Top 5 Amount">
      <calculatedColumnFormula>PersonnelExpensesTable[[#This Row],[ACTUAL]]+(10^-6)*ROW(PersonnelExpensesTable[[#This Row],[ACTUAL]])</calculatedColumnFormula>
    </tableColumn>
    <tableColumn id="5" name="DIFFERENCE" totalsRowFunction="sum">
      <calculatedColumnFormula>PersonnelExpensesTable[[#This Row],[ESTIMATED]]-PersonnelExpensesTable[[#This Row],[ACTUAL]]</calculatedColumnFormula>
    </tableColumn>
  </tableColumns>
  <tableStyleInfo name="Monthly Budget" showFirstColumn="0" showLastColumn="0" showRowStripes="0" showColumnStripes="0"/>
  <extLst>
    <ext xmlns:x14="http://schemas.microsoft.com/office/spreadsheetml/2009/9/main" uri="{504A1905-F514-4f6f-8877-14C23A59335A}">
      <x14:table altText="Personnel Expenses table" altTextSummary="List of personnel expenses for estimated and actual values along with a calculated difference"/>
    </ext>
  </extLst>
</table>
</file>

<file path=xl/theme/theme1.xml><?xml version="1.0" encoding="utf-8"?>
<a:theme xmlns:a="http://schemas.openxmlformats.org/drawingml/2006/main" name="Thatch">
  <a:themeElements>
    <a:clrScheme name="Small Business Budget">
      <a:dk1>
        <a:sysClr val="windowText" lastClr="000000"/>
      </a:dk1>
      <a:lt1>
        <a:sysClr val="window" lastClr="FFFFFF"/>
      </a:lt1>
      <a:dk2>
        <a:srgbClr val="355A61"/>
      </a:dk2>
      <a:lt2>
        <a:srgbClr val="DBE3E9"/>
      </a:lt2>
      <a:accent1>
        <a:srgbClr val="62799E"/>
      </a:accent1>
      <a:accent2>
        <a:srgbClr val="B3C035"/>
      </a:accent2>
      <a:accent3>
        <a:srgbClr val="908F74"/>
      </a:accent3>
      <a:accent4>
        <a:srgbClr val="7EA67F"/>
      </a:accent4>
      <a:accent5>
        <a:srgbClr val="5588A5"/>
      </a:accent5>
      <a:accent6>
        <a:srgbClr val="559592"/>
      </a:accent6>
      <a:hlink>
        <a:srgbClr val="66AACD"/>
      </a:hlink>
      <a:folHlink>
        <a:srgbClr val="809DB3"/>
      </a:folHlink>
    </a:clrScheme>
    <a:fontScheme name="Small Business Budget">
      <a:majorFont>
        <a:latin typeface="Gill Sans MT"/>
        <a:ea typeface=""/>
        <a:cs typeface=""/>
      </a:majorFont>
      <a:minorFont>
        <a:latin typeface="Gill Sans MT"/>
        <a:ea typeface=""/>
        <a:cs typeface=""/>
      </a:minorFont>
    </a:fontScheme>
    <a:fmtScheme name="Thatch">
      <a:fillStyleLst>
        <a:solidFill>
          <a:schemeClr val="phClr"/>
        </a:solidFill>
        <a:gradFill rotWithShape="1">
          <a:gsLst>
            <a:gs pos="0">
              <a:schemeClr val="phClr">
                <a:tint val="79000"/>
                <a:satMod val="180000"/>
              </a:schemeClr>
            </a:gs>
            <a:gs pos="65000">
              <a:schemeClr val="phClr">
                <a:tint val="52000"/>
                <a:satMod val="250000"/>
              </a:schemeClr>
            </a:gs>
            <a:gs pos="100000">
              <a:schemeClr val="phClr">
                <a:tint val="29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brightRoom" dir="t">
              <a:rot lat="0" lon="0" rev="8700000"/>
            </a:lightRig>
          </a:scene3d>
          <a:sp3d contourW="12700" prstMaterial="dkEdge">
            <a:bevelT w="0" h="0" prst="relaxedInset"/>
            <a:contourClr>
              <a:schemeClr val="phClr">
                <a:shade val="65000"/>
                <a:satMod val="15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13200000"/>
            </a:lightRig>
          </a:scene3d>
          <a:sp3d prstMaterial="dkEdge">
            <a:bevelT w="63500" h="508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hade val="95000"/>
                <a:satMod val="200000"/>
              </a:schemeClr>
            </a:gs>
            <a:gs pos="53000">
              <a:schemeClr val="phClr">
                <a:shade val="60000"/>
                <a:satMod val="220000"/>
              </a:schemeClr>
            </a:gs>
            <a:gs pos="100000">
              <a:schemeClr val="phClr">
                <a:shade val="45000"/>
                <a:satMod val="22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3000"/>
                <a:shade val="97000"/>
                <a:satMod val="230000"/>
              </a:schemeClr>
            </a:gs>
            <a:gs pos="100000">
              <a:schemeClr val="phClr">
                <a:shade val="35000"/>
                <a:satMod val="250000"/>
              </a:schemeClr>
            </a:gs>
          </a:gsLst>
          <a:path path="circle">
            <a:fillToRect l="15000" t="50000" r="85000" b="6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M39"/>
  <sheetViews>
    <sheetView showGridLines="0" tabSelected="1" zoomScale="80" zoomScaleNormal="80" workbookViewId="0"/>
  </sheetViews>
  <sheetFormatPr defaultRowHeight="15.95" customHeight="1" x14ac:dyDescent="0.35"/>
  <cols>
    <col min="1" max="1" width="2.875" style="14" customWidth="1"/>
    <col min="2" max="2" width="29.25" style="14" customWidth="1"/>
    <col min="3" max="5" width="19" style="14" customWidth="1"/>
    <col min="6" max="6" width="2.625" style="14" customWidth="1"/>
    <col min="7" max="7" width="3.75" style="30" customWidth="1"/>
    <col min="8" max="8" width="30.25" style="30" customWidth="1"/>
    <col min="9" max="10" width="17.25" style="30" customWidth="1"/>
    <col min="11" max="11" width="15.375" style="30" hidden="1" customWidth="1"/>
    <col min="12" max="12" width="17.25" style="30" customWidth="1"/>
    <col min="13" max="13" width="3.75" style="30" customWidth="1"/>
    <col min="14" max="14" width="12.25" customWidth="1"/>
    <col min="15" max="16" width="12.125" customWidth="1"/>
  </cols>
  <sheetData>
    <row r="1" spans="1:13" s="26" customFormat="1" ht="15.95" customHeight="1" x14ac:dyDescent="0.35"/>
    <row r="2" spans="1:13" s="26" customFormat="1" ht="30.75" customHeight="1" x14ac:dyDescent="0.5">
      <c r="B2" s="12" t="s">
        <v>46</v>
      </c>
      <c r="C2" s="8"/>
      <c r="D2" s="8"/>
      <c r="E2" s="8"/>
      <c r="F2" s="8"/>
      <c r="G2" s="8"/>
      <c r="H2" s="8"/>
      <c r="I2" s="9"/>
      <c r="J2" s="10"/>
      <c r="K2" s="9"/>
      <c r="L2" s="13"/>
      <c r="M2" s="10"/>
    </row>
    <row r="3" spans="1:13" s="26" customFormat="1" ht="42" customHeight="1" x14ac:dyDescent="1">
      <c r="B3" s="27" t="s">
        <v>33</v>
      </c>
      <c r="C3" s="11"/>
      <c r="D3" s="11"/>
      <c r="E3" s="11"/>
      <c r="F3" s="11"/>
      <c r="G3" s="11"/>
      <c r="H3" s="11"/>
      <c r="I3" s="9"/>
      <c r="K3" s="9"/>
      <c r="L3" s="34">
        <v>40603</v>
      </c>
      <c r="M3" s="34"/>
    </row>
    <row r="5" spans="1:13" s="1" customFormat="1" ht="21.75" customHeight="1" x14ac:dyDescent="0.35">
      <c r="A5" s="15"/>
      <c r="B5" s="23" t="s">
        <v>32</v>
      </c>
      <c r="C5" s="2" t="s">
        <v>21</v>
      </c>
      <c r="D5" s="2" t="s">
        <v>22</v>
      </c>
      <c r="E5" s="2" t="s">
        <v>23</v>
      </c>
      <c r="F5" s="16"/>
      <c r="G5" s="31"/>
      <c r="H5" s="23" t="s">
        <v>24</v>
      </c>
      <c r="I5" s="2" t="s">
        <v>21</v>
      </c>
      <c r="J5" s="2" t="s">
        <v>22</v>
      </c>
      <c r="K5" s="2" t="s">
        <v>25</v>
      </c>
      <c r="L5" s="2" t="s">
        <v>23</v>
      </c>
      <c r="M5" s="31"/>
    </row>
    <row r="6" spans="1:13" ht="16.5" customHeight="1" x14ac:dyDescent="0.35">
      <c r="B6" s="5" t="s">
        <v>15</v>
      </c>
      <c r="C6" s="6">
        <f>IncomeTable[[#Totals],[ESTIMATED]]</f>
        <v>63300</v>
      </c>
      <c r="D6" s="6">
        <f>IncomeTable[[#Totals],[ACTUAL]]</f>
        <v>57450</v>
      </c>
      <c r="E6" s="6">
        <f>TotalsTable[[#This Row],[ACTUAL]]-TotalsTable[[#This Row],[ESTIMATED]]</f>
        <v>-5850</v>
      </c>
      <c r="F6" s="17"/>
      <c r="H6" s="5" t="s">
        <v>43</v>
      </c>
      <c r="I6" s="6">
        <v>60000</v>
      </c>
      <c r="J6" s="6">
        <v>54000</v>
      </c>
      <c r="K6" s="6">
        <f>IncomeTable[[#This Row],[ACTUAL]]+(10^-6)*ROW(IncomeTable[[#This Row],[ACTUAL]])</f>
        <v>54000.000006000002</v>
      </c>
      <c r="L6" s="6">
        <f>IncomeTable[[#This Row],[ACTUAL]]-IncomeTable[[#This Row],[ESTIMATED]]</f>
        <v>-6000</v>
      </c>
    </row>
    <row r="7" spans="1:13" ht="16.5" customHeight="1" x14ac:dyDescent="0.35">
      <c r="B7" s="5" t="s">
        <v>18</v>
      </c>
      <c r="C7" s="6">
        <f>OperatingExpensesTable[[#Totals],[ESTIMATED]]+PersonnelExpensesTable[[#Totals],[ESTIMATED]]</f>
        <v>54500</v>
      </c>
      <c r="D7" s="6">
        <f>OperatingExpensesTable[[#Totals],[ACTUAL]]+PersonnelExpensesTable[[#Totals],[ACTUAL]]</f>
        <v>49630</v>
      </c>
      <c r="E7" s="6">
        <f>TotalsTable[[#This Row],[ESTIMATED]]-TotalsTable[[#This Row],[ACTUAL]]</f>
        <v>4870</v>
      </c>
      <c r="F7" s="17"/>
      <c r="H7" s="5" t="s">
        <v>44</v>
      </c>
      <c r="I7" s="6">
        <v>3000</v>
      </c>
      <c r="J7" s="6">
        <v>3000</v>
      </c>
      <c r="K7" s="6">
        <f>IncomeTable[[#This Row],[ACTUAL]]+(10^-6)*ROW(IncomeTable[[#This Row],[ACTUAL]])</f>
        <v>3000.0000070000001</v>
      </c>
      <c r="L7" s="6">
        <f>IncomeTable[[#This Row],[ACTUAL]]-IncomeTable[[#This Row],[ESTIMATED]]</f>
        <v>0</v>
      </c>
    </row>
    <row r="8" spans="1:13" ht="16.5" customHeight="1" x14ac:dyDescent="0.35">
      <c r="B8" s="5" t="s">
        <v>36</v>
      </c>
      <c r="C8" s="7">
        <f>C6-C7</f>
        <v>8800</v>
      </c>
      <c r="D8" s="7">
        <f>D6-D7</f>
        <v>7820</v>
      </c>
      <c r="E8" s="6">
        <f>TotalsTable[[#Totals],[ACTUAL]]-TotalsTable[[#Totals],[ESTIMATED]]</f>
        <v>-980</v>
      </c>
      <c r="F8" s="18"/>
      <c r="H8" s="5" t="s">
        <v>45</v>
      </c>
      <c r="I8" s="6">
        <v>300</v>
      </c>
      <c r="J8" s="6">
        <v>450</v>
      </c>
      <c r="K8" s="6">
        <f>IncomeTable[[#This Row],[ACTUAL]]+(10^-6)*ROW(IncomeTable[[#This Row],[ACTUAL]])</f>
        <v>450.00000799999998</v>
      </c>
      <c r="L8" s="6">
        <f>IncomeTable[[#This Row],[ACTUAL]]-IncomeTable[[#This Row],[ESTIMATED]]</f>
        <v>150</v>
      </c>
    </row>
    <row r="9" spans="1:13" ht="16.5" customHeight="1" x14ac:dyDescent="0.35">
      <c r="H9" s="5" t="s">
        <v>14</v>
      </c>
      <c r="I9" s="6">
        <f>SUBTOTAL(109,IncomeTable[ESTIMATED])</f>
        <v>63300</v>
      </c>
      <c r="J9" s="6">
        <f>SUBTOTAL(109,IncomeTable[ACTUAL])</f>
        <v>57450</v>
      </c>
      <c r="K9" s="7"/>
      <c r="L9" s="6">
        <f>SUBTOTAL(109,IncomeTable[DIFFERENCE])</f>
        <v>-5850</v>
      </c>
    </row>
    <row r="10" spans="1:13" ht="16.5" customHeight="1" x14ac:dyDescent="0.35">
      <c r="H10" s="32"/>
      <c r="I10" s="32"/>
      <c r="J10" s="32"/>
      <c r="K10" s="32"/>
      <c r="L10" s="32"/>
    </row>
    <row r="11" spans="1:13" ht="21.75" customHeight="1" x14ac:dyDescent="0.35">
      <c r="H11" s="5" t="s">
        <v>26</v>
      </c>
      <c r="I11" s="4" t="s">
        <v>21</v>
      </c>
      <c r="J11" s="4" t="s">
        <v>22</v>
      </c>
      <c r="K11" s="3" t="s">
        <v>20</v>
      </c>
      <c r="L11" s="4" t="s">
        <v>23</v>
      </c>
    </row>
    <row r="12" spans="1:13" ht="16.5" customHeight="1" x14ac:dyDescent="0.35">
      <c r="H12" s="5" t="s">
        <v>16</v>
      </c>
      <c r="I12" s="6">
        <v>9500</v>
      </c>
      <c r="J12" s="6">
        <v>9600</v>
      </c>
      <c r="K12" s="7">
        <f>PersonnelExpensesTable[[#This Row],[ACTUAL]]+(10^-6)*ROW(PersonnelExpensesTable[[#This Row],[ACTUAL]])</f>
        <v>9600.0000120000004</v>
      </c>
      <c r="L12" s="6">
        <f>PersonnelExpensesTable[[#This Row],[ESTIMATED]]-PersonnelExpensesTable[[#This Row],[ACTUAL]]</f>
        <v>-100</v>
      </c>
    </row>
    <row r="13" spans="1:13" ht="16.5" customHeight="1" x14ac:dyDescent="0.35">
      <c r="H13" s="5" t="s">
        <v>37</v>
      </c>
      <c r="I13" s="6">
        <v>4000</v>
      </c>
      <c r="J13" s="6"/>
      <c r="K13" s="7">
        <f>PersonnelExpensesTable[[#This Row],[ACTUAL]]+(10^-6)*ROW(PersonnelExpensesTable[[#This Row],[ACTUAL]])</f>
        <v>1.2999999999999999E-5</v>
      </c>
      <c r="L13" s="6">
        <f>PersonnelExpensesTable[[#This Row],[ESTIMATED]]-PersonnelExpensesTable[[#This Row],[ACTUAL]]</f>
        <v>4000</v>
      </c>
    </row>
    <row r="14" spans="1:13" ht="16.5" customHeight="1" x14ac:dyDescent="0.35">
      <c r="H14" s="5" t="s">
        <v>17</v>
      </c>
      <c r="I14" s="6">
        <v>5000</v>
      </c>
      <c r="J14" s="6">
        <v>4500</v>
      </c>
      <c r="K14" s="7">
        <f>PersonnelExpensesTable[[#This Row],[ACTUAL]]+(10^-6)*ROW(PersonnelExpensesTable[[#This Row],[ACTUAL]])</f>
        <v>4500.0000140000002</v>
      </c>
      <c r="L14" s="6">
        <f>PersonnelExpensesTable[[#This Row],[ESTIMATED]]-PersonnelExpensesTable[[#This Row],[ACTUAL]]</f>
        <v>500</v>
      </c>
    </row>
    <row r="15" spans="1:13" ht="16.5" customHeight="1" x14ac:dyDescent="0.35">
      <c r="H15" s="5" t="s">
        <v>19</v>
      </c>
      <c r="I15" s="7">
        <f>SUBTOTAL(109,PersonnelExpensesTable[ESTIMATED])</f>
        <v>18500</v>
      </c>
      <c r="J15" s="7">
        <f>SUBTOTAL(109,PersonnelExpensesTable[ACTUAL])</f>
        <v>14100</v>
      </c>
      <c r="K15" s="7"/>
      <c r="L15" s="7">
        <f>SUBTOTAL(109,PersonnelExpensesTable[DIFFERENCE])</f>
        <v>4400</v>
      </c>
    </row>
    <row r="16" spans="1:13" ht="16.5" customHeight="1" x14ac:dyDescent="0.35">
      <c r="H16" s="32"/>
      <c r="I16" s="32"/>
      <c r="J16" s="32"/>
      <c r="K16" s="32"/>
      <c r="L16" s="32"/>
    </row>
    <row r="17" spans="2:12" ht="21.75" customHeight="1" x14ac:dyDescent="0.35">
      <c r="H17" s="5" t="s">
        <v>27</v>
      </c>
      <c r="I17" s="3" t="s">
        <v>21</v>
      </c>
      <c r="J17" s="3" t="s">
        <v>22</v>
      </c>
      <c r="K17" s="3" t="s">
        <v>20</v>
      </c>
      <c r="L17" s="3" t="s">
        <v>23</v>
      </c>
    </row>
    <row r="18" spans="2:12" ht="16.5" customHeight="1" x14ac:dyDescent="0.35">
      <c r="H18" s="5" t="s">
        <v>1</v>
      </c>
      <c r="I18" s="6">
        <v>3000</v>
      </c>
      <c r="J18" s="6">
        <v>2500</v>
      </c>
      <c r="K18" s="6">
        <f>OperatingExpensesTable[[#This Row],[ACTUAL]]+(10^-6)*ROW(OperatingExpensesTable[[#This Row],[ACTUAL]])</f>
        <v>2500.0000180000002</v>
      </c>
      <c r="L18" s="6">
        <f>OperatingExpensesTable[[#This Row],[ESTIMATED]]-OperatingExpensesTable[[#This Row],[ACTUAL]]</f>
        <v>500</v>
      </c>
    </row>
    <row r="19" spans="2:12" ht="16.5" customHeight="1" x14ac:dyDescent="0.35">
      <c r="H19" s="5" t="s">
        <v>38</v>
      </c>
      <c r="I19" s="6">
        <v>2000</v>
      </c>
      <c r="J19" s="6">
        <v>2000</v>
      </c>
      <c r="K19" s="6">
        <f>OperatingExpensesTable[[#This Row],[ACTUAL]]+(10^-6)*ROW(OperatingExpensesTable[[#This Row],[ACTUAL]])</f>
        <v>2000.0000190000001</v>
      </c>
      <c r="L19" s="6">
        <f>OperatingExpensesTable[[#This Row],[ESTIMATED]]-OperatingExpensesTable[[#This Row],[ACTUAL]]</f>
        <v>0</v>
      </c>
    </row>
    <row r="20" spans="2:12" ht="16.5" customHeight="1" x14ac:dyDescent="0.35">
      <c r="H20" s="5" t="s">
        <v>39</v>
      </c>
      <c r="I20" s="6">
        <v>1500</v>
      </c>
      <c r="J20" s="6">
        <v>2175</v>
      </c>
      <c r="K20" s="6">
        <f>OperatingExpensesTable[[#This Row],[ACTUAL]]+(10^-6)*ROW(OperatingExpensesTable[[#This Row],[ACTUAL]])</f>
        <v>2175.0000199999999</v>
      </c>
      <c r="L20" s="6">
        <f>OperatingExpensesTable[[#This Row],[ESTIMATED]]-OperatingExpensesTable[[#This Row],[ACTUAL]]</f>
        <v>-675</v>
      </c>
    </row>
    <row r="21" spans="2:12" ht="16.5" customHeight="1" x14ac:dyDescent="0.35">
      <c r="H21" s="5" t="s">
        <v>47</v>
      </c>
      <c r="I21" s="6">
        <v>2000</v>
      </c>
      <c r="J21" s="6">
        <v>1500</v>
      </c>
      <c r="K21" s="6">
        <f>OperatingExpensesTable[[#This Row],[ACTUAL]]+(10^-6)*ROW(OperatingExpensesTable[[#This Row],[ACTUAL]])</f>
        <v>1500.0000210000001</v>
      </c>
      <c r="L21" s="6">
        <f>OperatingExpensesTable[[#This Row],[ESTIMATED]]-OperatingExpensesTable[[#This Row],[ACTUAL]]</f>
        <v>500</v>
      </c>
    </row>
    <row r="22" spans="2:12" ht="16.5" customHeight="1" x14ac:dyDescent="0.35">
      <c r="H22" s="5" t="s">
        <v>2</v>
      </c>
      <c r="I22" s="6">
        <v>1000</v>
      </c>
      <c r="J22" s="6">
        <v>1000</v>
      </c>
      <c r="K22" s="6">
        <f>OperatingExpensesTable[[#This Row],[ACTUAL]]+(10^-6)*ROW(OperatingExpensesTable[[#This Row],[ACTUAL]])</f>
        <v>1000.0000219999999</v>
      </c>
      <c r="L22" s="6">
        <f>OperatingExpensesTable[[#This Row],[ESTIMATED]]-OperatingExpensesTable[[#This Row],[ACTUAL]]</f>
        <v>0</v>
      </c>
    </row>
    <row r="23" spans="2:12" ht="16.5" customHeight="1" x14ac:dyDescent="0.35">
      <c r="H23" s="5" t="s">
        <v>40</v>
      </c>
      <c r="I23" s="6">
        <v>500</v>
      </c>
      <c r="J23" s="6">
        <v>525</v>
      </c>
      <c r="K23" s="6">
        <f>OperatingExpensesTable[[#This Row],[ACTUAL]]+(10^-6)*ROW(OperatingExpensesTable[[#This Row],[ACTUAL]])</f>
        <v>525.00002300000006</v>
      </c>
      <c r="L23" s="6">
        <f>OperatingExpensesTable[[#This Row],[ESTIMATED]]-OperatingExpensesTable[[#This Row],[ACTUAL]]</f>
        <v>-25</v>
      </c>
    </row>
    <row r="24" spans="2:12" ht="16.5" customHeight="1" x14ac:dyDescent="0.35">
      <c r="H24" s="5" t="s">
        <v>3</v>
      </c>
      <c r="I24" s="6">
        <v>1300</v>
      </c>
      <c r="J24" s="6">
        <v>1275</v>
      </c>
      <c r="K24" s="6">
        <f>OperatingExpensesTable[[#This Row],[ACTUAL]]+(10^-6)*ROW(OperatingExpensesTable[[#This Row],[ACTUAL]])</f>
        <v>1275.0000239999999</v>
      </c>
      <c r="L24" s="6">
        <f>OperatingExpensesTable[[#This Row],[ESTIMATED]]-OperatingExpensesTable[[#This Row],[ACTUAL]]</f>
        <v>25</v>
      </c>
    </row>
    <row r="25" spans="2:12" ht="16.5" customHeight="1" x14ac:dyDescent="0.35">
      <c r="H25" s="5" t="s">
        <v>4</v>
      </c>
      <c r="I25" s="6">
        <v>2000</v>
      </c>
      <c r="J25" s="6">
        <v>2200</v>
      </c>
      <c r="K25" s="6">
        <f>OperatingExpensesTable[[#This Row],[ACTUAL]]+(10^-6)*ROW(OperatingExpensesTable[[#This Row],[ACTUAL]])</f>
        <v>2200.0000249999998</v>
      </c>
      <c r="L25" s="6">
        <f>OperatingExpensesTable[[#This Row],[ESTIMATED]]-OperatingExpensesTable[[#This Row],[ACTUAL]]</f>
        <v>-200</v>
      </c>
    </row>
    <row r="26" spans="2:12" ht="16.5" customHeight="1" x14ac:dyDescent="0.35">
      <c r="E26" s="19"/>
      <c r="F26" s="19"/>
      <c r="H26" s="5" t="s">
        <v>41</v>
      </c>
      <c r="I26" s="6">
        <v>1000</v>
      </c>
      <c r="J26" s="6">
        <v>800</v>
      </c>
      <c r="K26" s="6">
        <f>OperatingExpensesTable[[#This Row],[ACTUAL]]+(10^-6)*ROW(OperatingExpensesTable[[#This Row],[ACTUAL]])</f>
        <v>800.00002600000005</v>
      </c>
      <c r="L26" s="6">
        <f>OperatingExpensesTable[[#This Row],[ESTIMATED]]-OperatingExpensesTable[[#This Row],[ACTUAL]]</f>
        <v>200</v>
      </c>
    </row>
    <row r="27" spans="2:12" ht="16.5" customHeight="1" x14ac:dyDescent="0.35">
      <c r="D27" s="20"/>
      <c r="H27" s="5" t="s">
        <v>42</v>
      </c>
      <c r="I27" s="6">
        <v>4500</v>
      </c>
      <c r="J27" s="6">
        <v>4600</v>
      </c>
      <c r="K27" s="6">
        <f>OperatingExpensesTable[[#This Row],[ACTUAL]]+(10^-6)*ROW(OperatingExpensesTable[[#This Row],[ACTUAL]])</f>
        <v>4600.000027</v>
      </c>
      <c r="L27" s="6">
        <f>OperatingExpensesTable[[#This Row],[ESTIMATED]]-OperatingExpensesTable[[#This Row],[ACTUAL]]</f>
        <v>-100</v>
      </c>
    </row>
    <row r="28" spans="2:12" ht="16.5" customHeight="1" x14ac:dyDescent="0.35">
      <c r="D28" s="20"/>
      <c r="F28" s="19"/>
      <c r="H28" s="5" t="s">
        <v>5</v>
      </c>
      <c r="I28" s="6">
        <v>800</v>
      </c>
      <c r="J28" s="6">
        <v>750</v>
      </c>
      <c r="K28" s="6">
        <f>OperatingExpensesTable[[#This Row],[ACTUAL]]+(10^-6)*ROW(OperatingExpensesTable[[#This Row],[ACTUAL]])</f>
        <v>750.00002800000004</v>
      </c>
      <c r="L28" s="6">
        <f>OperatingExpensesTable[[#This Row],[ESTIMATED]]-OperatingExpensesTable[[#This Row],[ACTUAL]]</f>
        <v>50</v>
      </c>
    </row>
    <row r="29" spans="2:12" ht="16.5" customHeight="1" x14ac:dyDescent="0.35">
      <c r="D29" s="20"/>
      <c r="F29" s="21"/>
      <c r="H29" s="5" t="s">
        <v>6</v>
      </c>
      <c r="I29" s="6">
        <v>400</v>
      </c>
      <c r="J29" s="6">
        <v>350</v>
      </c>
      <c r="K29" s="6">
        <f>OperatingExpensesTable[[#This Row],[ACTUAL]]+(10^-6)*ROW(OperatingExpensesTable[[#This Row],[ACTUAL]])</f>
        <v>350.00002899999998</v>
      </c>
      <c r="L29" s="6">
        <f>OperatingExpensesTable[[#This Row],[ESTIMATED]]-OperatingExpensesTable[[#This Row],[ACTUAL]]</f>
        <v>50</v>
      </c>
    </row>
    <row r="30" spans="2:12" ht="16.5" customHeight="1" x14ac:dyDescent="0.35">
      <c r="B30" s="33"/>
      <c r="C30" s="33"/>
      <c r="D30" s="33"/>
      <c r="E30" s="19"/>
      <c r="F30" s="19"/>
      <c r="H30" s="5" t="s">
        <v>7</v>
      </c>
      <c r="I30" s="6">
        <v>4100</v>
      </c>
      <c r="J30" s="6">
        <v>4500</v>
      </c>
      <c r="K30" s="6">
        <f>OperatingExpensesTable[[#This Row],[ACTUAL]]+(10^-6)*ROW(OperatingExpensesTable[[#This Row],[ACTUAL]])</f>
        <v>4500.0000300000002</v>
      </c>
      <c r="L30" s="6">
        <f>OperatingExpensesTable[[#This Row],[ESTIMATED]]-OperatingExpensesTable[[#This Row],[ACTUAL]]</f>
        <v>-400</v>
      </c>
    </row>
    <row r="31" spans="2:12" ht="16.5" customHeight="1" x14ac:dyDescent="0.35">
      <c r="B31" s="22" t="s">
        <v>28</v>
      </c>
      <c r="C31" s="22"/>
      <c r="D31" s="22"/>
      <c r="E31" s="22"/>
      <c r="H31" s="5" t="s">
        <v>8</v>
      </c>
      <c r="I31" s="6">
        <v>350</v>
      </c>
      <c r="J31" s="6">
        <v>400</v>
      </c>
      <c r="K31" s="6">
        <f>OperatingExpensesTable[[#This Row],[ACTUAL]]+(10^-6)*ROW(OperatingExpensesTable[[#This Row],[ACTUAL]])</f>
        <v>400.00003099999998</v>
      </c>
      <c r="L31" s="6">
        <f>OperatingExpensesTable[[#This Row],[ESTIMATED]]-OperatingExpensesTable[[#This Row],[ACTUAL]]</f>
        <v>-50</v>
      </c>
    </row>
    <row r="32" spans="2:12" ht="16.5" customHeight="1" x14ac:dyDescent="0.35">
      <c r="B32" s="23" t="s">
        <v>29</v>
      </c>
      <c r="C32" s="2" t="s">
        <v>30</v>
      </c>
      <c r="D32" s="2" t="s">
        <v>31</v>
      </c>
      <c r="E32" s="2" t="s">
        <v>35</v>
      </c>
      <c r="H32" s="5" t="s">
        <v>9</v>
      </c>
      <c r="I32" s="6">
        <v>900</v>
      </c>
      <c r="J32" s="6">
        <v>840</v>
      </c>
      <c r="K32" s="6">
        <f>OperatingExpensesTable[[#This Row],[ACTUAL]]+(10^-6)*ROW(OperatingExpensesTable[[#This Row],[ACTUAL]])</f>
        <v>840.00003200000003</v>
      </c>
      <c r="L32" s="6">
        <f>OperatingExpensesTable[[#This Row],[ESTIMATED]]-OperatingExpensesTable[[#This Row],[ACTUAL]]</f>
        <v>60</v>
      </c>
    </row>
    <row r="33" spans="2:12" ht="16.5" customHeight="1" x14ac:dyDescent="0.35">
      <c r="B33" s="5" t="str">
        <f>INDEX(OperatingExpensesTable[],MATCH(Top5Expenses[[#This Row],[AMOUNT]],OperatingExpensesTable[Top 5 Amount],0),1)</f>
        <v>Maintenance and repairs</v>
      </c>
      <c r="C33" s="24">
        <f>LARGE(OperatingExpensesTable[Top 5 Amount],1)</f>
        <v>4600.000027</v>
      </c>
      <c r="D33" s="28">
        <f>Top5Expenses[[#This Row],[AMOUNT]]/$D$7</f>
        <v>9.268587602256699E-2</v>
      </c>
      <c r="E33" s="6">
        <f>Top5Expenses[[#This Row],[AMOUNT]]*0.15</f>
        <v>690.00000405000003</v>
      </c>
      <c r="H33" s="5" t="s">
        <v>10</v>
      </c>
      <c r="I33" s="6">
        <v>5000</v>
      </c>
      <c r="J33" s="6">
        <v>4500</v>
      </c>
      <c r="K33" s="6">
        <f>OperatingExpensesTable[[#This Row],[ACTUAL]]+(10^-6)*ROW(OperatingExpensesTable[[#This Row],[ACTUAL]])</f>
        <v>4500.0000330000003</v>
      </c>
      <c r="L33" s="6">
        <f>OperatingExpensesTable[[#This Row],[ESTIMATED]]-OperatingExpensesTable[[#This Row],[ACTUAL]]</f>
        <v>500</v>
      </c>
    </row>
    <row r="34" spans="2:12" ht="16.5" customHeight="1" x14ac:dyDescent="0.35">
      <c r="B34" s="5" t="str">
        <f>INDEX(OperatingExpensesTable[],MATCH(Top5Expenses[[#This Row],[AMOUNT]],OperatingExpensesTable[Top 5 Amount],0),1)</f>
        <v>Supplies</v>
      </c>
      <c r="C34" s="4">
        <f>LARGE(OperatingExpensesTable[Top 5 Amount],2)</f>
        <v>4500.0000330000003</v>
      </c>
      <c r="D34" s="28">
        <f>Top5Expenses[[#This Row],[AMOUNT]]/$D$7</f>
        <v>9.0670965806971593E-2</v>
      </c>
      <c r="E34" s="6">
        <f>Top5Expenses[[#This Row],[AMOUNT]]*0.15</f>
        <v>675.00000495000006</v>
      </c>
      <c r="H34" s="5" t="s">
        <v>11</v>
      </c>
      <c r="I34" s="6">
        <v>3000</v>
      </c>
      <c r="J34" s="6">
        <v>3200</v>
      </c>
      <c r="K34" s="6">
        <f>OperatingExpensesTable[[#This Row],[ACTUAL]]+(10^-6)*ROW(OperatingExpensesTable[[#This Row],[ACTUAL]])</f>
        <v>3200.0000340000001</v>
      </c>
      <c r="L34" s="6">
        <f>OperatingExpensesTable[[#This Row],[ESTIMATED]]-OperatingExpensesTable[[#This Row],[ACTUAL]]</f>
        <v>-200</v>
      </c>
    </row>
    <row r="35" spans="2:12" ht="16.5" customHeight="1" x14ac:dyDescent="0.35">
      <c r="B35" s="5" t="str">
        <f>INDEX(OperatingExpensesTable[],MATCH(Top5Expenses[[#This Row],[AMOUNT]],OperatingExpensesTable[Top 5 Amount],0),1)</f>
        <v>Rent or mortgage</v>
      </c>
      <c r="C35" s="4">
        <f>LARGE(OperatingExpensesTable[Top 5 Amount],3)</f>
        <v>4500.0000300000002</v>
      </c>
      <c r="D35" s="28">
        <f>Top5Expenses[[#This Row],[AMOUNT]]/$D$7</f>
        <v>9.0670965746524279E-2</v>
      </c>
      <c r="E35" s="6">
        <f>Top5Expenses[[#This Row],[AMOUNT]]*0.15</f>
        <v>675.00000450000005</v>
      </c>
      <c r="H35" s="5" t="s">
        <v>12</v>
      </c>
      <c r="I35" s="6">
        <v>250</v>
      </c>
      <c r="J35" s="6">
        <v>280</v>
      </c>
      <c r="K35" s="6">
        <f>OperatingExpensesTable[[#This Row],[ACTUAL]]+(10^-6)*ROW(OperatingExpensesTable[[#This Row],[ACTUAL]])</f>
        <v>280.00003500000003</v>
      </c>
      <c r="L35" s="6">
        <f>OperatingExpensesTable[[#This Row],[ESTIMATED]]-OperatingExpensesTable[[#This Row],[ACTUAL]]</f>
        <v>-30</v>
      </c>
    </row>
    <row r="36" spans="2:12" ht="16.5" customHeight="1" x14ac:dyDescent="0.35">
      <c r="B36" s="5" t="str">
        <f>INDEX(OperatingExpensesTable[],MATCH(Top5Expenses[[#This Row],[AMOUNT]],OperatingExpensesTable[Top 5 Amount],0),1)</f>
        <v>Taxes</v>
      </c>
      <c r="C36" s="4">
        <f>LARGE(OperatingExpensesTable[Top 5 Amount],4)</f>
        <v>3200.0000340000001</v>
      </c>
      <c r="D36" s="28">
        <f>Top5Expenses[[#This Row],[AMOUNT]]/$D$7</f>
        <v>6.4477131452750358E-2</v>
      </c>
      <c r="E36" s="6">
        <f>Top5Expenses[[#This Row],[AMOUNT]]*0.15</f>
        <v>480.00000510000001</v>
      </c>
      <c r="H36" s="5" t="s">
        <v>13</v>
      </c>
      <c r="I36" s="6">
        <v>1400</v>
      </c>
      <c r="J36" s="6">
        <v>1385</v>
      </c>
      <c r="K36" s="6">
        <f>OperatingExpensesTable[[#This Row],[ACTUAL]]+(10^-6)*ROW(OperatingExpensesTable[[#This Row],[ACTUAL]])</f>
        <v>1385.0000359999999</v>
      </c>
      <c r="L36" s="6">
        <f>OperatingExpensesTable[[#This Row],[ESTIMATED]]-OperatingExpensesTable[[#This Row],[ACTUAL]]</f>
        <v>15</v>
      </c>
    </row>
    <row r="37" spans="2:12" ht="16.5" customHeight="1" x14ac:dyDescent="0.35">
      <c r="B37" s="5" t="str">
        <f>INDEX(OperatingExpensesTable[],MATCH(Top5Expenses[[#This Row],[AMOUNT]],OperatingExpensesTable[Top 5 Amount],0),1)</f>
        <v>Advertising</v>
      </c>
      <c r="C37" s="4">
        <f>LARGE(OperatingExpensesTable[Top 5 Amount],5)</f>
        <v>2500.0000180000002</v>
      </c>
      <c r="D37" s="28">
        <f>Top5Expenses[[#This Row],[AMOUNT]]/$D$7</f>
        <v>5.0372758774934516E-2</v>
      </c>
      <c r="E37" s="6">
        <f>Top5Expenses[[#This Row],[AMOUNT]]*0.15</f>
        <v>375.00000270000004</v>
      </c>
      <c r="H37" s="5" t="s">
        <v>0</v>
      </c>
      <c r="I37" s="6">
        <v>1000</v>
      </c>
      <c r="J37" s="6">
        <v>750</v>
      </c>
      <c r="K37" s="6">
        <f>OperatingExpensesTable[[#This Row],[ACTUAL]]+(10^-6)*ROW(OperatingExpensesTable[[#This Row],[ACTUAL]])</f>
        <v>750.00003700000002</v>
      </c>
      <c r="L37" s="6">
        <f>OperatingExpensesTable[[#This Row],[ESTIMATED]]-OperatingExpensesTable[[#This Row],[ACTUAL]]</f>
        <v>250</v>
      </c>
    </row>
    <row r="38" spans="2:12" ht="16.5" customHeight="1" x14ac:dyDescent="0.35">
      <c r="B38" s="5" t="s">
        <v>14</v>
      </c>
      <c r="C38" s="25">
        <f>SUBTOTAL(109,Top5Expenses[AMOUNT])</f>
        <v>19300.000142000001</v>
      </c>
      <c r="D38" s="29">
        <f>SUBTOTAL(109,Top5Expenses[% OF EXPENSES])</f>
        <v>0.38887769780374776</v>
      </c>
      <c r="E38" s="6">
        <f>SUBTOTAL(109,Top5Expenses[15% REDUCTION])</f>
        <v>2895.0000213000003</v>
      </c>
      <c r="H38" s="5" t="s">
        <v>34</v>
      </c>
      <c r="I38" s="7">
        <f>SUBTOTAL(109,OperatingExpensesTable[ESTIMATED])</f>
        <v>36000</v>
      </c>
      <c r="J38" s="7">
        <f>SUBTOTAL(109,OperatingExpensesTable[ACTUAL])</f>
        <v>35530</v>
      </c>
      <c r="K38" s="7"/>
      <c r="L38" s="7">
        <f>SUBTOTAL(109,OperatingExpensesTable[DIFFERENCE])</f>
        <v>470</v>
      </c>
    </row>
    <row r="39" spans="2:12" ht="15.95" customHeight="1" x14ac:dyDescent="0.35">
      <c r="B39" s="14" t="s">
        <v>48</v>
      </c>
      <c r="H39" s="30" t="s">
        <v>48</v>
      </c>
    </row>
  </sheetData>
  <mergeCells count="4">
    <mergeCell ref="H16:L16"/>
    <mergeCell ref="H10:L10"/>
    <mergeCell ref="B30:D30"/>
    <mergeCell ref="L3:M3"/>
  </mergeCells>
  <printOptions horizontalCentered="1"/>
  <pageMargins left="0.2" right="0.2" top="0.25" bottom="0.25" header="0" footer="0"/>
  <pageSetup scale="57" fitToHeight="0" orientation="portrait" r:id="rId1"/>
  <ignoredErrors>
    <ignoredError sqref="E7" calculatedColumn="1"/>
  </ignoredErrors>
  <drawing r:id="rId2"/>
  <tableParts count="5">
    <tablePart r:id="rId3"/>
    <tablePart r:id="rId4"/>
    <tablePart r:id="rId5"/>
    <tablePart r:id="rId6"/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4" id="{CA679A58-33B3-4E23-B41D-223F287AF956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Flags" iconId="0"/>
              <x14:cfIcon iconSet="NoIcons" iconId="0"/>
              <x14:cfIcon iconSet="NoIcons" iconId="0"/>
            </x14:iconSet>
          </x14:cfRule>
          <xm:sqref>L18:L37 L6:L8 L12:L14</xm:sqref>
        </x14:conditionalFormatting>
      </x14:conditionalFormattings>
    </ext>
  </extLst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A86E3B0B-7F90-4824-8437-3F3F396E91E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Budget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Monthly business budget</dc:title>
  <dc:creator/>
  <lastModifiedBy/>
  <keywords/>
  <dcterms:modified xsi:type="dcterms:W3CDTF">2012-09-17T22:22:12.0000000Z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TC034580759991</vt:lpwstr>
  </property>
</Properties>
</file>